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giziagoCioffi\OneDrive - SYNSPHERE\Documenti\source\VisualStudioCodeRepo\SynSphereWebsite\SYNSPHERE - Website\public\download\"/>
    </mc:Choice>
  </mc:AlternateContent>
  <xr:revisionPtr revIDLastSave="0" documentId="13_ncr:1_{B7A16A09-D9A4-45A8-84AA-88D85B6099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truzioni" sheetId="1" r:id="rId1"/>
    <sheet name="1 Assunzioni" sheetId="2" r:id="rId2"/>
    <sheet name="2 Conto economico" sheetId="3" r:id="rId3"/>
    <sheet name="3 Cash flow anno 1" sheetId="4" r:id="rId4"/>
    <sheet name="4 Break-even" sheetId="5" r:id="rId5"/>
    <sheet name="5 KPI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B5" i="5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K9" i="4"/>
  <c r="I9" i="4"/>
  <c r="L8" i="4"/>
  <c r="L7" i="4"/>
  <c r="K7" i="4"/>
  <c r="K8" i="4" s="1"/>
  <c r="K11" i="4" s="1"/>
  <c r="M5" i="4"/>
  <c r="L5" i="4"/>
  <c r="E5" i="4"/>
  <c r="B5" i="4"/>
  <c r="N4" i="4"/>
  <c r="M4" i="4"/>
  <c r="M7" i="4" s="1"/>
  <c r="M8" i="4" s="1"/>
  <c r="L4" i="4"/>
  <c r="K4" i="4"/>
  <c r="J4" i="4"/>
  <c r="J7" i="4" s="1"/>
  <c r="J8" i="4" s="1"/>
  <c r="I4" i="4"/>
  <c r="I7" i="4" s="1"/>
  <c r="I8" i="4" s="1"/>
  <c r="I11" i="4" s="1"/>
  <c r="H4" i="4"/>
  <c r="H7" i="4" s="1"/>
  <c r="H8" i="4" s="1"/>
  <c r="G4" i="4"/>
  <c r="G7" i="4" s="1"/>
  <c r="G8" i="4" s="1"/>
  <c r="F4" i="4"/>
  <c r="F7" i="4" s="1"/>
  <c r="F8" i="4" s="1"/>
  <c r="E4" i="4"/>
  <c r="F5" i="4" s="1"/>
  <c r="D4" i="4"/>
  <c r="D7" i="4" s="1"/>
  <c r="D8" i="4" s="1"/>
  <c r="C4" i="4"/>
  <c r="D5" i="4" s="1"/>
  <c r="B4" i="4"/>
  <c r="B7" i="4" s="1"/>
  <c r="F8" i="3"/>
  <c r="D8" i="3"/>
  <c r="B8" i="3"/>
  <c r="C8" i="3" s="1"/>
  <c r="F6" i="3"/>
  <c r="D6" i="3"/>
  <c r="B6" i="3"/>
  <c r="B4" i="5" s="1"/>
  <c r="B7" i="5" s="1"/>
  <c r="B4" i="3"/>
  <c r="C4" i="3" s="1"/>
  <c r="B3" i="3"/>
  <c r="D3" i="3" s="1"/>
  <c r="B16" i="2"/>
  <c r="M9" i="4" s="1"/>
  <c r="B15" i="6" l="1"/>
  <c r="B8" i="5"/>
  <c r="D4" i="3"/>
  <c r="E4" i="3" s="1"/>
  <c r="F3" i="3"/>
  <c r="E3" i="3"/>
  <c r="D5" i="3"/>
  <c r="D7" i="3" s="1"/>
  <c r="D9" i="3" s="1"/>
  <c r="E8" i="3"/>
  <c r="E6" i="3"/>
  <c r="J11" i="4"/>
  <c r="F11" i="4"/>
  <c r="M11" i="4"/>
  <c r="M13" i="4" s="1"/>
  <c r="B9" i="5"/>
  <c r="B10" i="5" s="1"/>
  <c r="F13" i="4"/>
  <c r="B8" i="4"/>
  <c r="C6" i="3"/>
  <c r="C7" i="4"/>
  <c r="C8" i="4" s="1"/>
  <c r="C11" i="4" s="1"/>
  <c r="B9" i="4"/>
  <c r="E7" i="4"/>
  <c r="E8" i="4" s="1"/>
  <c r="E11" i="4" s="1"/>
  <c r="E13" i="4" s="1"/>
  <c r="G5" i="4"/>
  <c r="H5" i="4"/>
  <c r="E9" i="4"/>
  <c r="I5" i="4"/>
  <c r="I13" i="4" s="1"/>
  <c r="F9" i="4"/>
  <c r="C9" i="4"/>
  <c r="C3" i="3"/>
  <c r="J5" i="4"/>
  <c r="J13" i="4" s="1"/>
  <c r="G9" i="4"/>
  <c r="G11" i="4" s="1"/>
  <c r="B3" i="5"/>
  <c r="B11" i="5" s="1"/>
  <c r="B16" i="6" s="1"/>
  <c r="B5" i="3"/>
  <c r="B7" i="3" s="1"/>
  <c r="B9" i="3" s="1"/>
  <c r="D9" i="4"/>
  <c r="D11" i="4" s="1"/>
  <c r="D13" i="4" s="1"/>
  <c r="K5" i="4"/>
  <c r="K13" i="4" s="1"/>
  <c r="H9" i="4"/>
  <c r="H11" i="4" s="1"/>
  <c r="J9" i="4"/>
  <c r="C5" i="4"/>
  <c r="L9" i="4"/>
  <c r="L11" i="4" s="1"/>
  <c r="L13" i="4" s="1"/>
  <c r="H13" i="4" l="1"/>
  <c r="B10" i="3"/>
  <c r="C10" i="3" s="1"/>
  <c r="D10" i="3"/>
  <c r="E10" i="3" s="1"/>
  <c r="D11" i="3"/>
  <c r="E11" i="3" s="1"/>
  <c r="N5" i="4"/>
  <c r="G13" i="4"/>
  <c r="E5" i="3"/>
  <c r="N9" i="4"/>
  <c r="E7" i="3"/>
  <c r="B6" i="6" s="1"/>
  <c r="C13" i="4"/>
  <c r="F5" i="3"/>
  <c r="F7" i="3" s="1"/>
  <c r="F9" i="3" s="1"/>
  <c r="G8" i="3"/>
  <c r="G3" i="3"/>
  <c r="F4" i="3"/>
  <c r="G4" i="3" s="1"/>
  <c r="G6" i="3"/>
  <c r="B4" i="6"/>
  <c r="C7" i="3"/>
  <c r="B5" i="6" s="1"/>
  <c r="N8" i="4"/>
  <c r="B11" i="4"/>
  <c r="N7" i="4"/>
  <c r="E9" i="3"/>
  <c r="C9" i="3"/>
  <c r="C5" i="3"/>
  <c r="G5" i="3" l="1"/>
  <c r="G7" i="3"/>
  <c r="B7" i="6" s="1"/>
  <c r="B11" i="3"/>
  <c r="F10" i="3"/>
  <c r="G10" i="3" s="1"/>
  <c r="G9" i="3"/>
  <c r="N11" i="4"/>
  <c r="B13" i="4"/>
  <c r="B10" i="6" l="1"/>
  <c r="B11" i="6" s="1"/>
  <c r="B14" i="4"/>
  <c r="N13" i="4"/>
  <c r="B8" i="6"/>
  <c r="C11" i="3"/>
  <c r="F11" i="3"/>
  <c r="G11" i="3" s="1"/>
  <c r="C14" i="4" l="1"/>
  <c r="D14" i="4" s="1"/>
  <c r="E14" i="4" s="1"/>
  <c r="F14" i="4" s="1"/>
  <c r="G14" i="4" s="1"/>
  <c r="H14" i="4" s="1"/>
  <c r="I14" i="4" s="1"/>
  <c r="J14" i="4" s="1"/>
  <c r="K14" i="4" s="1"/>
  <c r="L14" i="4" s="1"/>
  <c r="M14" i="4" s="1"/>
  <c r="B13" i="6" l="1"/>
  <c r="N14" i="4"/>
  <c r="B12" i="6"/>
</calcChain>
</file>

<file path=xl/sharedStrings.xml><?xml version="1.0" encoding="utf-8"?>
<sst xmlns="http://schemas.openxmlformats.org/spreadsheetml/2006/main" count="167" uniqueCount="154">
  <si>
    <t>BUSINESS PLAN FINANZIARIO</t>
  </si>
  <si>
    <t>SynSphere Italia — Partner Microsoft per le PMI italiane</t>
  </si>
  <si>
    <t>Cosa fa questo template</t>
  </si>
  <si>
    <t>Costruisce il modello finanziario di un business plan a 3 anni partendo da un unico foglio di assunzioni: prezzo medio, volumi, crescita, costo del venduto, costi fissi, imposte e investimenti.</t>
  </si>
  <si>
    <t>Tutti i fogli sono collegati con formule: cambia un'assunzione e conto economico, cash flow, break-even e KPI si ricalcolano da soli.</t>
  </si>
  <si>
    <t>Pensato per PMI e nuove iniziative d'impresa: richiesta di credito in banca, lancio di un nuovo ramo d'azienda, verifica di sostenibilità di un progetto.</t>
  </si>
  <si>
    <t>Come si usa — ordine dei fogli</t>
  </si>
  <si>
    <t>1. Assunzioni — l'unico foglio da compilare: celle azzurre con prezzo, volumi, crescita, costi e tesoreria.</t>
  </si>
  <si>
    <t>2. Conto economico — previsionale annuale a 3 anni con incidenze percentuali sui ricavi: ricavi, margine lordo, EBITDA, utile netto.</t>
  </si>
  <si>
    <t>3. Cash flow anno 1 — flussi di cassa mese per mese con dilazione incassi e pagamenti configurabile e saldo progressivo.</t>
  </si>
  <si>
    <t>4. Break-even — punto di pareggio in fatturato e in unità, margine di contribuzione e margine di sicurezza.</t>
  </si>
  <si>
    <t>5. KPI — sintesi direzionale: CAGR ricavi, EBITDA margin, mesi di runway, fabbisogno massimo di cassa.</t>
  </si>
  <si>
    <t>Convenzioni grafiche</t>
  </si>
  <si>
    <t>Celle azzurre = input da compilare (le uniche da toccare).</t>
  </si>
  <si>
    <t>Celle grigie = calcolate con formule: non modificarle.</t>
  </si>
  <si>
    <t>Righe nere = totali e risultati di sintesi.</t>
  </si>
  <si>
    <t>Saldi di cassa negativi evidenziati in rosso, fabbisogno di cassa in giallo.</t>
  </si>
  <si>
    <t>Esempio precompilato</t>
  </si>
  <si>
    <t>Il modello arriva già compilato con il caso realistico di una società di servizi IT da 5 persone: giornate di consulenza vendute, crescita a doppia cifra il secondo anno, investimenti iniziali in attrezzature.</t>
  </si>
  <si>
    <t>Sostituisci i valori azzurri del foglio Assunzioni con i tuoi numeri: tutto il resto si aggiorna in automatico.</t>
  </si>
  <si>
    <t>Avvertenze</t>
  </si>
  <si>
    <t>Ipotesi semplificate: costi fissi costanti sui 3 anni, aliquota fiscale media unica, ammortamento lineare. Adatta le assunzioni se prevedi assunzioni di personale o investimenti successivi.</t>
  </si>
  <si>
    <t>Il cash flow dell'Anno 1 considera fra le uscite solo pagamenti a fornitori, costi fissi e investimenti: il versamento delle imposte non è modellato, quindi il saldo di fine anno va letto al lordo del carico fiscale (le imposte compaiono solo nel conto economico).</t>
  </si>
  <si>
    <t>Il template non sostituisce la consulenza del commercialista: per il business plan definitivo da presentare a banche o investitori fatti affiancare da un professionista.</t>
  </si>
  <si>
    <t>Quando passare a un sistema integrato</t>
  </si>
  <si>
    <t>Quando il piano diventa operativo, Microsoft Dynamics 365 Business Central gestisce contabilità, fatturazione e controllo di gestione in un unico sistema, e Power BI trasforma i consuntivi in dashboard direzionali confrontabili con il piano.</t>
  </si>
  <si>
    <t>SynSphere affianca le PMI in questo percorso: dal modello Excel al gestionale cloud.</t>
  </si>
  <si>
    <t>Domande</t>
  </si>
  <si>
    <t>Assessment gratuito su controllo di gestione e strumenti Microsoft: https://www.synsphere.it/contattaci</t>
  </si>
  <si>
    <t>ASSUNZIONI DEL MODELLO — COMPILA SOLO LE CELLE AZZURRE</t>
  </si>
  <si>
    <t>Voce</t>
  </si>
  <si>
    <t>Valore</t>
  </si>
  <si>
    <t>Nota</t>
  </si>
  <si>
    <t>RICAVI</t>
  </si>
  <si>
    <t>Prezzo medio di vendita (€ per unità)</t>
  </si>
  <si>
    <t>Nell'esempio: tariffa di una giornata di consulenza IT.</t>
  </si>
  <si>
    <t>Volumi di vendita mensili — Anno 1 (unità)</t>
  </si>
  <si>
    <t>Nell'esempio: giornate fatturate al mese dal team di 5 persone.</t>
  </si>
  <si>
    <t>Crescita ricavi Anno 2 (%)</t>
  </si>
  <si>
    <t>Variazione attesa dei ricavi rispetto all'Anno 1.</t>
  </si>
  <si>
    <t>Crescita ricavi Anno 3 (%)</t>
  </si>
  <si>
    <t>Variazione attesa dei ricavi rispetto all'Anno 2.</t>
  </si>
  <si>
    <t>COSTI VARIABILI</t>
  </si>
  <si>
    <t>Costo del venduto (% sui ricavi)</t>
  </si>
  <si>
    <t>Costi che crescono con i ricavi: subappalti, licenze rivendute, materiali.</t>
  </si>
  <si>
    <t>COSTI FISSI MENSILI</t>
  </si>
  <si>
    <t>Personale</t>
  </si>
  <si>
    <t>Retribuzioni lorde e contributi del team (5 persone nell'esempio).</t>
  </si>
  <si>
    <t>Affitto e utenze</t>
  </si>
  <si>
    <t>Sede, energia, connettività.</t>
  </si>
  <si>
    <t>Software e licenze</t>
  </si>
  <si>
    <t>Strumenti di lavoro: Microsoft 365, gestionale, tool tecnici.</t>
  </si>
  <si>
    <t>Marketing</t>
  </si>
  <si>
    <t>Sito, campagne, eventi, materiale commerciale.</t>
  </si>
  <si>
    <t>Altro (amministrazione, assicurazioni)</t>
  </si>
  <si>
    <t>Commercialista, assicurazioni, spese generali.</t>
  </si>
  <si>
    <t>Totale costi fissi mensili</t>
  </si>
  <si>
    <t>Calcolato: somma delle voci sopra.</t>
  </si>
  <si>
    <t>IMPOSTE, INVESTIMENTI E AMMORTAMENTI</t>
  </si>
  <si>
    <t>Aliquota fiscale media (%)</t>
  </si>
  <si>
    <t>Stima media IRES + IRAP: conferma il valore con il commercialista.</t>
  </si>
  <si>
    <t>Investimenti iniziali (€)</t>
  </si>
  <si>
    <t>Attrezzature, hardware, allestimento: sostenuti nel Mese 1.</t>
  </si>
  <si>
    <t>Anni di ammortamento</t>
  </si>
  <si>
    <t>Durata dell'ammortamento lineare degli investimenti.</t>
  </si>
  <si>
    <t>TESORERIA</t>
  </si>
  <si>
    <t>Cassa iniziale (€)</t>
  </si>
  <si>
    <t>Capitale versato o fido disponibile all'avvio.</t>
  </si>
  <si>
    <t>Dilazione media incassi clienti (mesi)</t>
  </si>
  <si>
    <t>0 = incasso immediato, 1 = a 30 giorni, 2 = a 60 giorni, 3 = a 90 giorni.</t>
  </si>
  <si>
    <t>Dilazione media pagamenti fornitori (mesi)</t>
  </si>
  <si>
    <t>Dilazione ottenuta dai fornitori sui costi variabili.</t>
  </si>
  <si>
    <t>CONTO ECONOMICO PREVISIONALE — 3 ANNI</t>
  </si>
  <si>
    <t>Anno 1</t>
  </si>
  <si>
    <t>% ric.</t>
  </si>
  <si>
    <t>Anno 2</t>
  </si>
  <si>
    <t>Anno 3</t>
  </si>
  <si>
    <t>Ricavi</t>
  </si>
  <si>
    <t>Costo del venduto</t>
  </si>
  <si>
    <t>Margine lordo</t>
  </si>
  <si>
    <t>Costi fissi</t>
  </si>
  <si>
    <t>EBITDA</t>
  </si>
  <si>
    <t>Ammortamenti</t>
  </si>
  <si>
    <t>Utile ante imposte</t>
  </si>
  <si>
    <t>Imposte</t>
  </si>
  <si>
    <t>Utile netto</t>
  </si>
  <si>
    <t>CASH FLOW MENSILE — ANNO 1</t>
  </si>
  <si>
    <t>Mese 1</t>
  </si>
  <si>
    <t>Mese 2</t>
  </si>
  <si>
    <t>Mese 3</t>
  </si>
  <si>
    <t>Mese 4</t>
  </si>
  <si>
    <t>Mese 5</t>
  </si>
  <si>
    <t>Mese 6</t>
  </si>
  <si>
    <t>Mese 7</t>
  </si>
  <si>
    <t>Mese 8</t>
  </si>
  <si>
    <t>Mese 9</t>
  </si>
  <si>
    <t>Mese 10</t>
  </si>
  <si>
    <t>Mese 11</t>
  </si>
  <si>
    <t>Mese 12</t>
  </si>
  <si>
    <t>Totale anno</t>
  </si>
  <si>
    <t>ENTRATE</t>
  </si>
  <si>
    <t>Fatturato di competenza (per memoria)</t>
  </si>
  <si>
    <t>Incassi da clienti (con dilazione)</t>
  </si>
  <si>
    <t>USCITE</t>
  </si>
  <si>
    <t>Costi variabili di competenza (per memoria)</t>
  </si>
  <si>
    <t>Pagamenti a fornitori (con dilazione)</t>
  </si>
  <si>
    <t>Costi fissi pagati</t>
  </si>
  <si>
    <t>Investimenti iniziali</t>
  </si>
  <si>
    <t>Totale uscite</t>
  </si>
  <si>
    <t>SALDO</t>
  </si>
  <si>
    <t>Flusso di cassa netto del mese</t>
  </si>
  <si>
    <t>Saldo progressivo di cassa</t>
  </si>
  <si>
    <t>BREAK-EVEN — PUNTO DI PAREGGIO</t>
  </si>
  <si>
    <t>Ricavi annui — Anno 1</t>
  </si>
  <si>
    <t>Dal conto economico previsionale.</t>
  </si>
  <si>
    <t>Costi fissi annui (inclusi ammortamenti)</t>
  </si>
  <si>
    <t>Costi da coprire indipendentemente dai volumi.</t>
  </si>
  <si>
    <t>Margine di contribuzione unitario</t>
  </si>
  <si>
    <t>Quanto resta di ogni unità venduta dopo i costi variabili.</t>
  </si>
  <si>
    <t>Margine di contribuzione (%)</t>
  </si>
  <si>
    <t>Quota di ogni euro di ricavo che copre i costi fissi.</t>
  </si>
  <si>
    <t>Break-even — fatturato annuo</t>
  </si>
  <si>
    <t>Fatturato minimo annuo per coprire tutti i costi.</t>
  </si>
  <si>
    <t>Break-even — fatturato mensile</t>
  </si>
  <si>
    <t>Fatturato minimo medio al mese.</t>
  </si>
  <si>
    <t>Break-even — unità annue</t>
  </si>
  <si>
    <t>Unità da vendere in un anno per andare in pareggio.</t>
  </si>
  <si>
    <t>Break-even — unità al mese</t>
  </si>
  <si>
    <t>Unità da vendere in media ogni mese.</t>
  </si>
  <si>
    <t>Margine di sicurezza sui ricavi — Anno 1</t>
  </si>
  <si>
    <t>Quanto possono calare i ricavi prima di scendere sotto il pareggio.</t>
  </si>
  <si>
    <t>KPI DI SINTESI</t>
  </si>
  <si>
    <t>Indicatore</t>
  </si>
  <si>
    <t>CRESCITA E REDDITIVITÀ</t>
  </si>
  <si>
    <t>CAGR ricavi (Anno 1 → Anno 3)</t>
  </si>
  <si>
    <t>Crescita media annua composta dei ricavi.</t>
  </si>
  <si>
    <t>EBITDA margin — Anno 1</t>
  </si>
  <si>
    <t>EBITDA in percentuale sui ricavi.</t>
  </si>
  <si>
    <t>EBITDA margin — Anno 2</t>
  </si>
  <si>
    <t>EBITDA margin — Anno 3</t>
  </si>
  <si>
    <t>Utile netto cumulato sui 3 anni</t>
  </si>
  <si>
    <t>Somma degli utili netti dei 3 anni di piano.</t>
  </si>
  <si>
    <t>CASSA E SOSTENIBILITÀ</t>
  </si>
  <si>
    <t>Flusso di cassa medio mensile — Anno 1</t>
  </si>
  <si>
    <t>Media dei flussi netti mensili del primo anno.</t>
  </si>
  <si>
    <t>Mesi di runway</t>
  </si>
  <si>
    <t>Quanti mesi copre la cassa iniziale se il flusso medio resta negativo.</t>
  </si>
  <si>
    <t>Fabbisogno massimo di cassa</t>
  </si>
  <si>
    <t>Punto più basso del saldo progressivo: la liquidità extra da garantire.</t>
  </si>
  <si>
    <t>Saldo di cassa a fine Anno 1</t>
  </si>
  <si>
    <t>Cassa disponibile al termine del primo anno.</t>
  </si>
  <si>
    <t>PAREGGIO</t>
  </si>
  <si>
    <t>Margine di sicurezza sui ricavi</t>
  </si>
  <si>
    <t>Distanza dei ricavi previsti dal punto di pareggio.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</si>
</sst>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0.0%"/>
    <numFmt numFmtId="166" formatCode="#,##0&quot; €&quot;"/>
    <numFmt numFmtId="167" formatCode="#,##0.0"/>
  </numFmts>
  <fonts count="11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0"/>
      <color rgb="FF212529"/>
      <name val="Calibri"/>
    </font>
    <font>
      <sz val="10"/>
      <color rgb="FF212529"/>
      <name val="Calibri"/>
    </font>
    <font>
      <sz val="10"/>
      <color rgb="FF666666"/>
      <name val="Calibri"/>
    </font>
    <font>
      <b/>
      <sz val="10"/>
      <color rgb="FF66666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F5F5F5"/>
        <bgColor rgb="FFF5F5F5"/>
      </patternFill>
    </fill>
    <fill>
      <patternFill patternType="solid">
        <fgColor rgb="FFEAF4FF"/>
        <bgColor rgb="FFEAF4FF"/>
      </patternFill>
    </fill>
    <fill>
      <patternFill patternType="solid">
        <fgColor rgb="FF191A1E"/>
        <bgColor rgb="FF191A1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3" fontId="8" fillId="5" borderId="1" xfId="0" applyNumberFormat="1" applyFon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horizontal="right" vertical="center"/>
    </xf>
    <xf numFmtId="166" fontId="10" fillId="4" borderId="1" xfId="0" applyNumberFormat="1" applyFont="1" applyFill="1" applyBorder="1" applyAlignment="1">
      <alignment horizontal="right" vertical="center"/>
    </xf>
    <xf numFmtId="166" fontId="9" fillId="4" borderId="1" xfId="0" applyNumberFormat="1" applyFont="1" applyFill="1" applyBorder="1" applyAlignment="1">
      <alignment horizontal="right" vertical="center"/>
    </xf>
    <xf numFmtId="165" fontId="9" fillId="4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 wrapText="1"/>
    </xf>
    <xf numFmtId="166" fontId="6" fillId="6" borderId="1" xfId="0" applyNumberFormat="1" applyFont="1" applyFill="1" applyBorder="1" applyAlignment="1">
      <alignment horizontal="right" vertical="center"/>
    </xf>
    <xf numFmtId="165" fontId="6" fillId="6" borderId="1" xfId="0" applyNumberFormat="1" applyFont="1" applyFill="1" applyBorder="1" applyAlignment="1">
      <alignment horizontal="right" vertical="center"/>
    </xf>
    <xf numFmtId="164" fontId="9" fillId="4" borderId="1" xfId="0" applyNumberFormat="1" applyFont="1" applyFill="1" applyBorder="1" applyAlignment="1">
      <alignment horizontal="right" vertical="center"/>
    </xf>
    <xf numFmtId="167" fontId="10" fillId="4" borderId="1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165" fontId="10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9">
    <dxf>
      <font>
        <sz val="10"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sz val="10"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sz val="10"/>
        <color rgb="FF8A6D00"/>
        <name val="Calibri"/>
      </font>
      <fill>
        <patternFill patternType="solid">
          <fgColor rgb="FFFFF7C2"/>
          <bgColor rgb="FFFFF7C2"/>
        </patternFill>
      </fill>
    </dxf>
    <dxf>
      <font>
        <sz val="10"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sz val="10"/>
        <color rgb="FF0A6E1A"/>
        <name val="Calibri"/>
      </font>
      <fill>
        <patternFill patternType="solid">
          <fgColor rgb="FFDEFFE3"/>
          <bgColor rgb="FFDEFFE3"/>
        </patternFill>
      </fill>
    </dxf>
    <dxf>
      <font>
        <sz val="10"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sz val="10"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sz val="10"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sz val="10"/>
        <color rgb="FFA0001E"/>
        <name val="Calibri"/>
      </font>
      <fill>
        <patternFill patternType="solid">
          <fgColor rgb="FFFFE0E0"/>
          <bgColor rgb="FFFF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22" t="s">
        <v>0</v>
      </c>
      <c r="B1" s="20"/>
    </row>
    <row r="2" spans="1:2" x14ac:dyDescent="0.25">
      <c r="A2" s="21" t="s">
        <v>1</v>
      </c>
      <c r="B2" s="20"/>
    </row>
    <row r="4" spans="1:2" ht="17.25" x14ac:dyDescent="0.25">
      <c r="A4" s="19" t="s">
        <v>2</v>
      </c>
      <c r="B4" s="20"/>
    </row>
    <row r="5" spans="1:2" ht="30" x14ac:dyDescent="0.25">
      <c r="B5" s="1" t="s">
        <v>3</v>
      </c>
    </row>
    <row r="6" spans="1:2" ht="30" x14ac:dyDescent="0.25">
      <c r="B6" s="1" t="s">
        <v>4</v>
      </c>
    </row>
    <row r="7" spans="1:2" ht="30" x14ac:dyDescent="0.25">
      <c r="B7" s="1" t="s">
        <v>5</v>
      </c>
    </row>
    <row r="9" spans="1:2" ht="17.25" x14ac:dyDescent="0.25">
      <c r="A9" s="19" t="s">
        <v>6</v>
      </c>
      <c r="B9" s="20"/>
    </row>
    <row r="10" spans="1:2" ht="30" x14ac:dyDescent="0.25">
      <c r="B10" s="1" t="s">
        <v>7</v>
      </c>
    </row>
    <row r="11" spans="1:2" ht="30" x14ac:dyDescent="0.25">
      <c r="B11" s="1" t="s">
        <v>8</v>
      </c>
    </row>
    <row r="12" spans="1:2" ht="30" x14ac:dyDescent="0.25">
      <c r="B12" s="1" t="s">
        <v>9</v>
      </c>
    </row>
    <row r="13" spans="1:2" ht="30" x14ac:dyDescent="0.25">
      <c r="B13" s="1" t="s">
        <v>10</v>
      </c>
    </row>
    <row r="14" spans="1:2" ht="30" x14ac:dyDescent="0.25">
      <c r="B14" s="1" t="s">
        <v>11</v>
      </c>
    </row>
    <row r="16" spans="1:2" ht="17.25" x14ac:dyDescent="0.25">
      <c r="A16" s="19" t="s">
        <v>12</v>
      </c>
      <c r="B16" s="20"/>
    </row>
    <row r="17" spans="1:2" x14ac:dyDescent="0.25">
      <c r="B17" s="1" t="s">
        <v>13</v>
      </c>
    </row>
    <row r="18" spans="1:2" x14ac:dyDescent="0.25">
      <c r="B18" s="1" t="s">
        <v>14</v>
      </c>
    </row>
    <row r="19" spans="1:2" x14ac:dyDescent="0.25">
      <c r="B19" s="1" t="s">
        <v>15</v>
      </c>
    </row>
    <row r="20" spans="1:2" x14ac:dyDescent="0.25">
      <c r="B20" s="1" t="s">
        <v>16</v>
      </c>
    </row>
    <row r="22" spans="1:2" ht="17.25" x14ac:dyDescent="0.25">
      <c r="A22" s="19" t="s">
        <v>17</v>
      </c>
      <c r="B22" s="20"/>
    </row>
    <row r="23" spans="1:2" ht="30" x14ac:dyDescent="0.25">
      <c r="B23" s="1" t="s">
        <v>18</v>
      </c>
    </row>
    <row r="24" spans="1:2" ht="30" x14ac:dyDescent="0.25">
      <c r="B24" s="1" t="s">
        <v>19</v>
      </c>
    </row>
    <row r="26" spans="1:2" ht="17.25" x14ac:dyDescent="0.25">
      <c r="A26" s="19" t="s">
        <v>20</v>
      </c>
      <c r="B26" s="20"/>
    </row>
    <row r="27" spans="1:2" ht="30" x14ac:dyDescent="0.25">
      <c r="B27" s="1" t="s">
        <v>21</v>
      </c>
    </row>
    <row r="28" spans="1:2" ht="45" x14ac:dyDescent="0.25">
      <c r="B28" s="1" t="s">
        <v>22</v>
      </c>
    </row>
    <row r="29" spans="1:2" ht="30" x14ac:dyDescent="0.25">
      <c r="B29" s="1" t="s">
        <v>23</v>
      </c>
    </row>
    <row r="31" spans="1:2" ht="17.25" x14ac:dyDescent="0.25">
      <c r="A31" s="19" t="s">
        <v>24</v>
      </c>
      <c r="B31" s="20"/>
    </row>
    <row r="32" spans="1:2" ht="45" x14ac:dyDescent="0.25">
      <c r="B32" s="1" t="s">
        <v>25</v>
      </c>
    </row>
    <row r="33" spans="1:2" x14ac:dyDescent="0.25">
      <c r="B33" s="1" t="s">
        <v>26</v>
      </c>
    </row>
    <row r="35" spans="1:2" ht="17.25" x14ac:dyDescent="0.25">
      <c r="A35" s="19" t="s">
        <v>27</v>
      </c>
      <c r="B35" s="20"/>
    </row>
    <row r="36" spans="1:2" ht="30" x14ac:dyDescent="0.25">
      <c r="B36" s="1" t="s">
        <v>28</v>
      </c>
    </row>
  </sheetData>
  <mergeCells count="9">
    <mergeCell ref="A31:B31"/>
    <mergeCell ref="A22:B22"/>
    <mergeCell ref="A35:B35"/>
    <mergeCell ref="A4:B4"/>
    <mergeCell ref="A26:B26"/>
    <mergeCell ref="A16:B16"/>
    <mergeCell ref="A2:B2"/>
    <mergeCell ref="A1:B1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44" customWidth="1"/>
    <col min="2" max="2" width="16" customWidth="1"/>
    <col min="3" max="3" width="64" customWidth="1"/>
  </cols>
  <sheetData>
    <row r="1" spans="1:3" ht="32.1" customHeight="1" x14ac:dyDescent="0.25">
      <c r="A1" s="24" t="s">
        <v>29</v>
      </c>
      <c r="B1" s="20"/>
      <c r="C1" s="20"/>
    </row>
    <row r="2" spans="1:3" ht="27.95" customHeight="1" x14ac:dyDescent="0.25">
      <c r="A2" s="2" t="s">
        <v>30</v>
      </c>
      <c r="B2" s="2" t="s">
        <v>31</v>
      </c>
      <c r="C2" s="2" t="s">
        <v>32</v>
      </c>
    </row>
    <row r="3" spans="1:3" ht="21.95" customHeight="1" x14ac:dyDescent="0.25">
      <c r="A3" s="23" t="s">
        <v>33</v>
      </c>
      <c r="B3" s="20"/>
      <c r="C3" s="20"/>
    </row>
    <row r="4" spans="1:3" ht="20.100000000000001" customHeight="1" x14ac:dyDescent="0.25">
      <c r="A4" s="3" t="s">
        <v>34</v>
      </c>
      <c r="B4" s="4">
        <v>450</v>
      </c>
      <c r="C4" s="5" t="s">
        <v>35</v>
      </c>
    </row>
    <row r="5" spans="1:3" ht="20.100000000000001" customHeight="1" x14ac:dyDescent="0.25">
      <c r="A5" s="3" t="s">
        <v>36</v>
      </c>
      <c r="B5" s="6">
        <v>85</v>
      </c>
      <c r="C5" s="5" t="s">
        <v>37</v>
      </c>
    </row>
    <row r="6" spans="1:3" ht="20.100000000000001" customHeight="1" x14ac:dyDescent="0.25">
      <c r="A6" s="3" t="s">
        <v>38</v>
      </c>
      <c r="B6" s="7">
        <v>0.2</v>
      </c>
      <c r="C6" s="5" t="s">
        <v>39</v>
      </c>
    </row>
    <row r="7" spans="1:3" ht="20.100000000000001" customHeight="1" x14ac:dyDescent="0.25">
      <c r="A7" s="3" t="s">
        <v>40</v>
      </c>
      <c r="B7" s="7">
        <v>0.15</v>
      </c>
      <c r="C7" s="5" t="s">
        <v>41</v>
      </c>
    </row>
    <row r="8" spans="1:3" ht="21.95" customHeight="1" x14ac:dyDescent="0.25">
      <c r="A8" s="23" t="s">
        <v>42</v>
      </c>
      <c r="B8" s="20"/>
      <c r="C8" s="20"/>
    </row>
    <row r="9" spans="1:3" ht="20.100000000000001" customHeight="1" x14ac:dyDescent="0.25">
      <c r="A9" s="3" t="s">
        <v>43</v>
      </c>
      <c r="B9" s="7">
        <v>0.15</v>
      </c>
      <c r="C9" s="5" t="s">
        <v>44</v>
      </c>
    </row>
    <row r="10" spans="1:3" ht="21.95" customHeight="1" x14ac:dyDescent="0.25">
      <c r="A10" s="23" t="s">
        <v>45</v>
      </c>
      <c r="B10" s="20"/>
      <c r="C10" s="20"/>
    </row>
    <row r="11" spans="1:3" ht="20.100000000000001" customHeight="1" x14ac:dyDescent="0.25">
      <c r="A11" s="3" t="s">
        <v>46</v>
      </c>
      <c r="B11" s="8">
        <v>22000</v>
      </c>
      <c r="C11" s="5" t="s">
        <v>47</v>
      </c>
    </row>
    <row r="12" spans="1:3" ht="20.100000000000001" customHeight="1" x14ac:dyDescent="0.25">
      <c r="A12" s="3" t="s">
        <v>48</v>
      </c>
      <c r="B12" s="8">
        <v>1800</v>
      </c>
      <c r="C12" s="5" t="s">
        <v>49</v>
      </c>
    </row>
    <row r="13" spans="1:3" ht="20.100000000000001" customHeight="1" x14ac:dyDescent="0.25">
      <c r="A13" s="3" t="s">
        <v>50</v>
      </c>
      <c r="B13" s="8">
        <v>1200</v>
      </c>
      <c r="C13" s="5" t="s">
        <v>51</v>
      </c>
    </row>
    <row r="14" spans="1:3" ht="20.100000000000001" customHeight="1" x14ac:dyDescent="0.25">
      <c r="A14" s="3" t="s">
        <v>52</v>
      </c>
      <c r="B14" s="8">
        <v>1500</v>
      </c>
      <c r="C14" s="5" t="s">
        <v>53</v>
      </c>
    </row>
    <row r="15" spans="1:3" ht="20.100000000000001" customHeight="1" x14ac:dyDescent="0.25">
      <c r="A15" s="3" t="s">
        <v>54</v>
      </c>
      <c r="B15" s="8">
        <v>1300</v>
      </c>
      <c r="C15" s="5" t="s">
        <v>55</v>
      </c>
    </row>
    <row r="16" spans="1:3" ht="20.100000000000001" customHeight="1" x14ac:dyDescent="0.25">
      <c r="A16" s="3" t="s">
        <v>56</v>
      </c>
      <c r="B16" s="9">
        <f>SUM(B11:B15)</f>
        <v>27800</v>
      </c>
      <c r="C16" s="5" t="s">
        <v>57</v>
      </c>
    </row>
    <row r="17" spans="1:3" ht="21.95" customHeight="1" x14ac:dyDescent="0.25">
      <c r="A17" s="23" t="s">
        <v>58</v>
      </c>
      <c r="B17" s="20"/>
      <c r="C17" s="20"/>
    </row>
    <row r="18" spans="1:3" ht="20.100000000000001" customHeight="1" x14ac:dyDescent="0.25">
      <c r="A18" s="3" t="s">
        <v>59</v>
      </c>
      <c r="B18" s="7">
        <v>0.28000000000000003</v>
      </c>
      <c r="C18" s="5" t="s">
        <v>60</v>
      </c>
    </row>
    <row r="19" spans="1:3" ht="20.100000000000001" customHeight="1" x14ac:dyDescent="0.25">
      <c r="A19" s="3" t="s">
        <v>61</v>
      </c>
      <c r="B19" s="8">
        <v>30000</v>
      </c>
      <c r="C19" s="5" t="s">
        <v>62</v>
      </c>
    </row>
    <row r="20" spans="1:3" ht="20.100000000000001" customHeight="1" x14ac:dyDescent="0.25">
      <c r="A20" s="3" t="s">
        <v>63</v>
      </c>
      <c r="B20" s="6">
        <v>5</v>
      </c>
      <c r="C20" s="5" t="s">
        <v>64</v>
      </c>
    </row>
    <row r="21" spans="1:3" ht="21.95" customHeight="1" x14ac:dyDescent="0.25">
      <c r="A21" s="23" t="s">
        <v>65</v>
      </c>
      <c r="B21" s="20"/>
      <c r="C21" s="20"/>
    </row>
    <row r="22" spans="1:3" ht="20.100000000000001" customHeight="1" x14ac:dyDescent="0.25">
      <c r="A22" s="3" t="s">
        <v>66</v>
      </c>
      <c r="B22" s="8">
        <v>50000</v>
      </c>
      <c r="C22" s="5" t="s">
        <v>67</v>
      </c>
    </row>
    <row r="23" spans="1:3" ht="20.100000000000001" customHeight="1" x14ac:dyDescent="0.25">
      <c r="A23" s="3" t="s">
        <v>68</v>
      </c>
      <c r="B23" s="6">
        <v>1</v>
      </c>
      <c r="C23" s="5" t="s">
        <v>69</v>
      </c>
    </row>
    <row r="24" spans="1:3" ht="20.100000000000001" customHeight="1" x14ac:dyDescent="0.25">
      <c r="A24" s="3" t="s">
        <v>70</v>
      </c>
      <c r="B24" s="6">
        <v>0</v>
      </c>
      <c r="C24" s="5" t="s">
        <v>71</v>
      </c>
    </row>
  </sheetData>
  <mergeCells count="6">
    <mergeCell ref="A21:C21"/>
    <mergeCell ref="A10:C10"/>
    <mergeCell ref="A1:C1"/>
    <mergeCell ref="A8:C8"/>
    <mergeCell ref="A17:C17"/>
    <mergeCell ref="A3:C3"/>
  </mergeCells>
  <dataValidations count="5">
    <dataValidation type="decimal" operator="greaterThanOrEqual" allowBlank="1" errorTitle="Valore non valido" error="Inserisci un numero maggiore o uguale a zero." sqref="B4 B5 B11 B12 B13 B14 B15 B19 B22" xr:uid="{00000000-0002-0000-0100-000000000000}">
      <formula1>0</formula1>
    </dataValidation>
    <dataValidation type="decimal" allowBlank="1" errorTitle="Percentuale non valida" error="Inserisci una percentuale fra 0% e 100% (esempio: 0,28 = 28%)." sqref="B9 B18" xr:uid="{00000000-0002-0000-0100-000001000000}">
      <formula1>0</formula1>
      <formula2>1</formula2>
    </dataValidation>
    <dataValidation type="decimal" allowBlank="1" errorTitle="Crescita non valida" error="Inserisci una crescita fra -50% e +500% (esempio: 0,2 = +20%)." sqref="B6 B7" xr:uid="{00000000-0002-0000-0100-000002000000}">
      <formula1>-0.5</formula1>
      <formula2>5</formula2>
    </dataValidation>
    <dataValidation type="list" allowBlank="1" errorTitle="Dilazione non valida" error="Scegli una dilazione fra 0, 1, 2 o 3 mesi." sqref="B23 B24" xr:uid="{00000000-0002-0000-0100-000003000000}">
      <formula1>"0,1,2,3"</formula1>
    </dataValidation>
    <dataValidation type="whole" allowBlank="1" errorTitle="Durata non valida" error="Inserisci un numero di anni intero fra 1 e 10." sqref="B20" xr:uid="{00000000-0002-0000-0100-000004000000}">
      <formula1>1</formula1>
      <formula2>10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pane xSplit="1" ySplit="2" topLeftCell="B3" activePane="bottomRight" state="frozen"/>
      <selection pane="topRight"/>
      <selection pane="bottomLeft"/>
      <selection pane="bottomRight" sqref="A1:G1"/>
    </sheetView>
  </sheetViews>
  <sheetFormatPr defaultRowHeight="15" x14ac:dyDescent="0.25"/>
  <cols>
    <col min="1" max="1" width="34" customWidth="1"/>
    <col min="2" max="2" width="16" customWidth="1"/>
    <col min="3" max="3" width="10" customWidth="1"/>
    <col min="4" max="4" width="16" customWidth="1"/>
    <col min="5" max="5" width="10" customWidth="1"/>
    <col min="6" max="6" width="16" customWidth="1"/>
    <col min="7" max="7" width="10" customWidth="1"/>
  </cols>
  <sheetData>
    <row r="1" spans="1:7" ht="32.1" customHeight="1" x14ac:dyDescent="0.25">
      <c r="A1" s="24" t="s">
        <v>72</v>
      </c>
      <c r="B1" s="20"/>
      <c r="C1" s="20"/>
      <c r="D1" s="20"/>
      <c r="E1" s="20"/>
      <c r="F1" s="20"/>
      <c r="G1" s="20"/>
    </row>
    <row r="2" spans="1:7" ht="27.95" customHeight="1" x14ac:dyDescent="0.25">
      <c r="A2" s="2" t="s">
        <v>30</v>
      </c>
      <c r="B2" s="2" t="s">
        <v>73</v>
      </c>
      <c r="C2" s="2" t="s">
        <v>74</v>
      </c>
      <c r="D2" s="2" t="s">
        <v>75</v>
      </c>
      <c r="E2" s="2" t="s">
        <v>74</v>
      </c>
      <c r="F2" s="2" t="s">
        <v>76</v>
      </c>
      <c r="G2" s="2" t="s">
        <v>74</v>
      </c>
    </row>
    <row r="3" spans="1:7" ht="20.100000000000001" customHeight="1" x14ac:dyDescent="0.25">
      <c r="A3" s="3" t="s">
        <v>77</v>
      </c>
      <c r="B3" s="10">
        <f>'1 Assunzioni'!$B$4*'1 Assunzioni'!$B$5*12</f>
        <v>459000</v>
      </c>
      <c r="C3" s="11">
        <f t="shared" ref="C3:C11" si="0">IF($B$3=0,0,B3/$B$3)</f>
        <v>1</v>
      </c>
      <c r="D3" s="10">
        <f>B3*(1+'1 Assunzioni'!$B$6)</f>
        <v>550800</v>
      </c>
      <c r="E3" s="11">
        <f t="shared" ref="E3:E11" si="1">IF($D$3=0,0,D3/$D$3)</f>
        <v>1</v>
      </c>
      <c r="F3" s="10">
        <f>D3*(1+'1 Assunzioni'!$B$7)</f>
        <v>633420</v>
      </c>
      <c r="G3" s="11">
        <f t="shared" ref="G3:G11" si="2">IF($F$3=0,0,F3/$F$3)</f>
        <v>1</v>
      </c>
    </row>
    <row r="4" spans="1:7" ht="20.100000000000001" customHeight="1" x14ac:dyDescent="0.25">
      <c r="A4" s="3" t="s">
        <v>78</v>
      </c>
      <c r="B4" s="10">
        <f>B3*'1 Assunzioni'!$B$9</f>
        <v>68850</v>
      </c>
      <c r="C4" s="11">
        <f t="shared" si="0"/>
        <v>0.15</v>
      </c>
      <c r="D4" s="10">
        <f>D3*'1 Assunzioni'!$B$9</f>
        <v>82620</v>
      </c>
      <c r="E4" s="11">
        <f t="shared" si="1"/>
        <v>0.15</v>
      </c>
      <c r="F4" s="10">
        <f>F3*'1 Assunzioni'!$B$9</f>
        <v>95013</v>
      </c>
      <c r="G4" s="11">
        <f t="shared" si="2"/>
        <v>0.15</v>
      </c>
    </row>
    <row r="5" spans="1:7" ht="20.100000000000001" customHeight="1" x14ac:dyDescent="0.25">
      <c r="A5" s="3" t="s">
        <v>79</v>
      </c>
      <c r="B5" s="9">
        <f>B3-B4</f>
        <v>390150</v>
      </c>
      <c r="C5" s="11">
        <f t="shared" si="0"/>
        <v>0.85</v>
      </c>
      <c r="D5" s="9">
        <f>D3-D4</f>
        <v>468180</v>
      </c>
      <c r="E5" s="11">
        <f t="shared" si="1"/>
        <v>0.85</v>
      </c>
      <c r="F5" s="9">
        <f>F3-F4</f>
        <v>538407</v>
      </c>
      <c r="G5" s="11">
        <f t="shared" si="2"/>
        <v>0.85</v>
      </c>
    </row>
    <row r="6" spans="1:7" ht="20.100000000000001" customHeight="1" x14ac:dyDescent="0.25">
      <c r="A6" s="3" t="s">
        <v>80</v>
      </c>
      <c r="B6" s="10">
        <f>'1 Assunzioni'!$B$16*12</f>
        <v>333600</v>
      </c>
      <c r="C6" s="11">
        <f t="shared" si="0"/>
        <v>0.726797385620915</v>
      </c>
      <c r="D6" s="10">
        <f>'1 Assunzioni'!$B$16*12</f>
        <v>333600</v>
      </c>
      <c r="E6" s="11">
        <f t="shared" si="1"/>
        <v>0.60566448801742923</v>
      </c>
      <c r="F6" s="10">
        <f>'1 Assunzioni'!$B$16*12</f>
        <v>333600</v>
      </c>
      <c r="G6" s="11">
        <f t="shared" si="2"/>
        <v>0.52666477218906882</v>
      </c>
    </row>
    <row r="7" spans="1:7" ht="20.100000000000001" customHeight="1" x14ac:dyDescent="0.25">
      <c r="A7" s="3" t="s">
        <v>81</v>
      </c>
      <c r="B7" s="9">
        <f>B5-B6</f>
        <v>56550</v>
      </c>
      <c r="C7" s="11">
        <f t="shared" si="0"/>
        <v>0.12320261437908497</v>
      </c>
      <c r="D7" s="9">
        <f>D5-D6</f>
        <v>134580</v>
      </c>
      <c r="E7" s="11">
        <f t="shared" si="1"/>
        <v>0.24433551198257081</v>
      </c>
      <c r="F7" s="9">
        <f>F5-F6</f>
        <v>204807</v>
      </c>
      <c r="G7" s="11">
        <f t="shared" si="2"/>
        <v>0.32333522781093116</v>
      </c>
    </row>
    <row r="8" spans="1:7" ht="20.100000000000001" customHeight="1" x14ac:dyDescent="0.25">
      <c r="A8" s="3" t="s">
        <v>82</v>
      </c>
      <c r="B8" s="10">
        <f>IF(1&lt;='1 Assunzioni'!$B$20,'1 Assunzioni'!$B$19/'1 Assunzioni'!$B$20,0)</f>
        <v>6000</v>
      </c>
      <c r="C8" s="11">
        <f t="shared" si="0"/>
        <v>1.3071895424836602E-2</v>
      </c>
      <c r="D8" s="10">
        <f>IF(2&lt;='1 Assunzioni'!$B$20,'1 Assunzioni'!$B$19/'1 Assunzioni'!$B$20,0)</f>
        <v>6000</v>
      </c>
      <c r="E8" s="11">
        <f t="shared" si="1"/>
        <v>1.0893246187363835E-2</v>
      </c>
      <c r="F8" s="10">
        <f>IF(3&lt;='1 Assunzioni'!$B$20,'1 Assunzioni'!$B$19/'1 Assunzioni'!$B$20,0)</f>
        <v>6000</v>
      </c>
      <c r="G8" s="11">
        <f t="shared" si="2"/>
        <v>9.4723879890120308E-3</v>
      </c>
    </row>
    <row r="9" spans="1:7" ht="20.100000000000001" customHeight="1" x14ac:dyDescent="0.25">
      <c r="A9" s="3" t="s">
        <v>83</v>
      </c>
      <c r="B9" s="10">
        <f>B7-B8</f>
        <v>50550</v>
      </c>
      <c r="C9" s="11">
        <f t="shared" si="0"/>
        <v>0.11013071895424836</v>
      </c>
      <c r="D9" s="10">
        <f>D7-D8</f>
        <v>128580</v>
      </c>
      <c r="E9" s="11">
        <f t="shared" si="1"/>
        <v>0.23344226579520697</v>
      </c>
      <c r="F9" s="10">
        <f>F7-F8</f>
        <v>198807</v>
      </c>
      <c r="G9" s="11">
        <f t="shared" si="2"/>
        <v>0.31386283982191909</v>
      </c>
    </row>
    <row r="10" spans="1:7" ht="20.100000000000001" customHeight="1" x14ac:dyDescent="0.25">
      <c r="A10" s="3" t="s">
        <v>84</v>
      </c>
      <c r="B10" s="10">
        <f>MAX(0,B9*'1 Assunzioni'!$B$18)</f>
        <v>14154.000000000002</v>
      </c>
      <c r="C10" s="11">
        <f t="shared" si="0"/>
        <v>3.0836601307189546E-2</v>
      </c>
      <c r="D10" s="10">
        <f>MAX(0,D9*'1 Assunzioni'!$B$18)</f>
        <v>36002.400000000001</v>
      </c>
      <c r="E10" s="11">
        <f t="shared" si="1"/>
        <v>6.536383442265796E-2</v>
      </c>
      <c r="F10" s="10">
        <f>MAX(0,F9*'1 Assunzioni'!$B$18)</f>
        <v>55665.960000000006</v>
      </c>
      <c r="G10" s="11">
        <f t="shared" si="2"/>
        <v>8.7881595150137354E-2</v>
      </c>
    </row>
    <row r="11" spans="1:7" ht="26.1" customHeight="1" x14ac:dyDescent="0.25">
      <c r="A11" s="12" t="s">
        <v>85</v>
      </c>
      <c r="B11" s="13">
        <f>B9-B10</f>
        <v>36396</v>
      </c>
      <c r="C11" s="14">
        <f t="shared" si="0"/>
        <v>7.929411764705882E-2</v>
      </c>
      <c r="D11" s="13">
        <f>D9-D10</f>
        <v>92577.600000000006</v>
      </c>
      <c r="E11" s="14">
        <f t="shared" si="1"/>
        <v>0.16807843137254902</v>
      </c>
      <c r="F11" s="13">
        <f>F9-F10</f>
        <v>143141.03999999998</v>
      </c>
      <c r="G11" s="14">
        <f t="shared" si="2"/>
        <v>0.22598124467178171</v>
      </c>
    </row>
  </sheetData>
  <mergeCells count="1">
    <mergeCell ref="A1:G1"/>
  </mergeCells>
  <conditionalFormatting sqref="B7:G7">
    <cfRule type="cellIs" dxfId="8" priority="1" operator="lessThan">
      <formula>0</formula>
    </cfRule>
  </conditionalFormatting>
  <conditionalFormatting sqref="B9:G9">
    <cfRule type="cellIs" dxfId="7" priority="2" operator="lessThan">
      <formula>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workbookViewId="0">
      <pane xSplit="1" ySplit="2" topLeftCell="B3" activePane="bottomRight" state="frozen"/>
      <selection pane="topRight"/>
      <selection pane="bottomLeft"/>
      <selection pane="bottomRight" sqref="A1:N1"/>
    </sheetView>
  </sheetViews>
  <sheetFormatPr defaultRowHeight="15" x14ac:dyDescent="0.25"/>
  <cols>
    <col min="1" max="1" width="38" customWidth="1"/>
    <col min="2" max="13" width="12" customWidth="1"/>
    <col min="14" max="14" width="14" customWidth="1"/>
  </cols>
  <sheetData>
    <row r="1" spans="1:14" ht="32.1" customHeight="1" x14ac:dyDescent="0.25">
      <c r="A1" s="24" t="s">
        <v>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7.95" customHeight="1" x14ac:dyDescent="0.25">
      <c r="A2" s="2" t="s">
        <v>30</v>
      </c>
      <c r="B2" s="2" t="s">
        <v>87</v>
      </c>
      <c r="C2" s="2" t="s">
        <v>88</v>
      </c>
      <c r="D2" s="2" t="s">
        <v>89</v>
      </c>
      <c r="E2" s="2" t="s">
        <v>90</v>
      </c>
      <c r="F2" s="2" t="s">
        <v>91</v>
      </c>
      <c r="G2" s="2" t="s">
        <v>92</v>
      </c>
      <c r="H2" s="2" t="s">
        <v>93</v>
      </c>
      <c r="I2" s="2" t="s">
        <v>94</v>
      </c>
      <c r="J2" s="2" t="s">
        <v>95</v>
      </c>
      <c r="K2" s="2" t="s">
        <v>96</v>
      </c>
      <c r="L2" s="2" t="s">
        <v>97</v>
      </c>
      <c r="M2" s="2" t="s">
        <v>98</v>
      </c>
      <c r="N2" s="2" t="s">
        <v>99</v>
      </c>
    </row>
    <row r="3" spans="1:14" ht="21.95" customHeight="1" x14ac:dyDescent="0.25">
      <c r="A3" s="23" t="s">
        <v>100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0.100000000000001" customHeight="1" x14ac:dyDescent="0.25">
      <c r="A4" s="3" t="s">
        <v>101</v>
      </c>
      <c r="B4" s="10">
        <f>'1 Assunzioni'!$B$4*'1 Assunzioni'!$B$5</f>
        <v>38250</v>
      </c>
      <c r="C4" s="10">
        <f>'1 Assunzioni'!$B$4*'1 Assunzioni'!$B$5</f>
        <v>38250</v>
      </c>
      <c r="D4" s="10">
        <f>'1 Assunzioni'!$B$4*'1 Assunzioni'!$B$5</f>
        <v>38250</v>
      </c>
      <c r="E4" s="10">
        <f>'1 Assunzioni'!$B$4*'1 Assunzioni'!$B$5</f>
        <v>38250</v>
      </c>
      <c r="F4" s="10">
        <f>'1 Assunzioni'!$B$4*'1 Assunzioni'!$B$5</f>
        <v>38250</v>
      </c>
      <c r="G4" s="10">
        <f>'1 Assunzioni'!$B$4*'1 Assunzioni'!$B$5</f>
        <v>38250</v>
      </c>
      <c r="H4" s="10">
        <f>'1 Assunzioni'!$B$4*'1 Assunzioni'!$B$5</f>
        <v>38250</v>
      </c>
      <c r="I4" s="10">
        <f>'1 Assunzioni'!$B$4*'1 Assunzioni'!$B$5</f>
        <v>38250</v>
      </c>
      <c r="J4" s="10">
        <f>'1 Assunzioni'!$B$4*'1 Assunzioni'!$B$5</f>
        <v>38250</v>
      </c>
      <c r="K4" s="10">
        <f>'1 Assunzioni'!$B$4*'1 Assunzioni'!$B$5</f>
        <v>38250</v>
      </c>
      <c r="L4" s="10">
        <f>'1 Assunzioni'!$B$4*'1 Assunzioni'!$B$5</f>
        <v>38250</v>
      </c>
      <c r="M4" s="10">
        <f>'1 Assunzioni'!$B$4*'1 Assunzioni'!$B$5</f>
        <v>38250</v>
      </c>
      <c r="N4" s="9">
        <f>SUM(B4:M4)</f>
        <v>459000</v>
      </c>
    </row>
    <row r="5" spans="1:14" ht="20.100000000000001" customHeight="1" x14ac:dyDescent="0.25">
      <c r="A5" s="3" t="s">
        <v>102</v>
      </c>
      <c r="B5" s="9">
        <f>IF(1-'1 Assunzioni'!$B$23&gt;=1,INDEX($B$4:$M$4,1,1-'1 Assunzioni'!$B$23),0)</f>
        <v>0</v>
      </c>
      <c r="C5" s="9">
        <f>IF(2-'1 Assunzioni'!$B$23&gt;=1,INDEX($B$4:$M$4,1,2-'1 Assunzioni'!$B$23),0)</f>
        <v>38250</v>
      </c>
      <c r="D5" s="9">
        <f>IF(3-'1 Assunzioni'!$B$23&gt;=1,INDEX($B$4:$M$4,1,3-'1 Assunzioni'!$B$23),0)</f>
        <v>38250</v>
      </c>
      <c r="E5" s="9">
        <f>IF(4-'1 Assunzioni'!$B$23&gt;=1,INDEX($B$4:$M$4,1,4-'1 Assunzioni'!$B$23),0)</f>
        <v>38250</v>
      </c>
      <c r="F5" s="9">
        <f>IF(5-'1 Assunzioni'!$B$23&gt;=1,INDEX($B$4:$M$4,1,5-'1 Assunzioni'!$B$23),0)</f>
        <v>38250</v>
      </c>
      <c r="G5" s="9">
        <f>IF(6-'1 Assunzioni'!$B$23&gt;=1,INDEX($B$4:$M$4,1,6-'1 Assunzioni'!$B$23),0)</f>
        <v>38250</v>
      </c>
      <c r="H5" s="9">
        <f>IF(7-'1 Assunzioni'!$B$23&gt;=1,INDEX($B$4:$M$4,1,7-'1 Assunzioni'!$B$23),0)</f>
        <v>38250</v>
      </c>
      <c r="I5" s="9">
        <f>IF(8-'1 Assunzioni'!$B$23&gt;=1,INDEX($B$4:$M$4,1,8-'1 Assunzioni'!$B$23),0)</f>
        <v>38250</v>
      </c>
      <c r="J5" s="9">
        <f>IF(9-'1 Assunzioni'!$B$23&gt;=1,INDEX($B$4:$M$4,1,9-'1 Assunzioni'!$B$23),0)</f>
        <v>38250</v>
      </c>
      <c r="K5" s="9">
        <f>IF(10-'1 Assunzioni'!$B$23&gt;=1,INDEX($B$4:$M$4,1,10-'1 Assunzioni'!$B$23),0)</f>
        <v>38250</v>
      </c>
      <c r="L5" s="9">
        <f>IF(11-'1 Assunzioni'!$B$23&gt;=1,INDEX($B$4:$M$4,1,11-'1 Assunzioni'!$B$23),0)</f>
        <v>38250</v>
      </c>
      <c r="M5" s="9">
        <f>IF(12-'1 Assunzioni'!$B$23&gt;=1,INDEX($B$4:$M$4,1,12-'1 Assunzioni'!$B$23),0)</f>
        <v>38250</v>
      </c>
      <c r="N5" s="9">
        <f>SUM(B5:M5)</f>
        <v>420750</v>
      </c>
    </row>
    <row r="6" spans="1:14" ht="21.95" customHeight="1" x14ac:dyDescent="0.25">
      <c r="A6" s="23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0.100000000000001" customHeight="1" x14ac:dyDescent="0.25">
      <c r="A7" s="3" t="s">
        <v>104</v>
      </c>
      <c r="B7" s="10">
        <f>B4*'1 Assunzioni'!$B$9</f>
        <v>5737.5</v>
      </c>
      <c r="C7" s="10">
        <f>C4*'1 Assunzioni'!$B$9</f>
        <v>5737.5</v>
      </c>
      <c r="D7" s="10">
        <f>D4*'1 Assunzioni'!$B$9</f>
        <v>5737.5</v>
      </c>
      <c r="E7" s="10">
        <f>E4*'1 Assunzioni'!$B$9</f>
        <v>5737.5</v>
      </c>
      <c r="F7" s="10">
        <f>F4*'1 Assunzioni'!$B$9</f>
        <v>5737.5</v>
      </c>
      <c r="G7" s="10">
        <f>G4*'1 Assunzioni'!$B$9</f>
        <v>5737.5</v>
      </c>
      <c r="H7" s="10">
        <f>H4*'1 Assunzioni'!$B$9</f>
        <v>5737.5</v>
      </c>
      <c r="I7" s="10">
        <f>I4*'1 Assunzioni'!$B$9</f>
        <v>5737.5</v>
      </c>
      <c r="J7" s="10">
        <f>J4*'1 Assunzioni'!$B$9</f>
        <v>5737.5</v>
      </c>
      <c r="K7" s="10">
        <f>K4*'1 Assunzioni'!$B$9</f>
        <v>5737.5</v>
      </c>
      <c r="L7" s="10">
        <f>L4*'1 Assunzioni'!$B$9</f>
        <v>5737.5</v>
      </c>
      <c r="M7" s="10">
        <f>M4*'1 Assunzioni'!$B$9</f>
        <v>5737.5</v>
      </c>
      <c r="N7" s="9">
        <f>SUM(B7:M7)</f>
        <v>68850</v>
      </c>
    </row>
    <row r="8" spans="1:14" ht="20.100000000000001" customHeight="1" x14ac:dyDescent="0.25">
      <c r="A8" s="3" t="s">
        <v>105</v>
      </c>
      <c r="B8" s="10">
        <f>IF(1-'1 Assunzioni'!$B$24&gt;=1,INDEX($B$7:$M$7,1,1-'1 Assunzioni'!$B$24),0)</f>
        <v>5737.5</v>
      </c>
      <c r="C8" s="10">
        <f>IF(2-'1 Assunzioni'!$B$24&gt;=1,INDEX($B$7:$M$7,1,2-'1 Assunzioni'!$B$24),0)</f>
        <v>5737.5</v>
      </c>
      <c r="D8" s="10">
        <f>IF(3-'1 Assunzioni'!$B$24&gt;=1,INDEX($B$7:$M$7,1,3-'1 Assunzioni'!$B$24),0)</f>
        <v>5737.5</v>
      </c>
      <c r="E8" s="10">
        <f>IF(4-'1 Assunzioni'!$B$24&gt;=1,INDEX($B$7:$M$7,1,4-'1 Assunzioni'!$B$24),0)</f>
        <v>5737.5</v>
      </c>
      <c r="F8" s="10">
        <f>IF(5-'1 Assunzioni'!$B$24&gt;=1,INDEX($B$7:$M$7,1,5-'1 Assunzioni'!$B$24),0)</f>
        <v>5737.5</v>
      </c>
      <c r="G8" s="10">
        <f>IF(6-'1 Assunzioni'!$B$24&gt;=1,INDEX($B$7:$M$7,1,6-'1 Assunzioni'!$B$24),0)</f>
        <v>5737.5</v>
      </c>
      <c r="H8" s="10">
        <f>IF(7-'1 Assunzioni'!$B$24&gt;=1,INDEX($B$7:$M$7,1,7-'1 Assunzioni'!$B$24),0)</f>
        <v>5737.5</v>
      </c>
      <c r="I8" s="10">
        <f>IF(8-'1 Assunzioni'!$B$24&gt;=1,INDEX($B$7:$M$7,1,8-'1 Assunzioni'!$B$24),0)</f>
        <v>5737.5</v>
      </c>
      <c r="J8" s="10">
        <f>IF(9-'1 Assunzioni'!$B$24&gt;=1,INDEX($B$7:$M$7,1,9-'1 Assunzioni'!$B$24),0)</f>
        <v>5737.5</v>
      </c>
      <c r="K8" s="10">
        <f>IF(10-'1 Assunzioni'!$B$24&gt;=1,INDEX($B$7:$M$7,1,10-'1 Assunzioni'!$B$24),0)</f>
        <v>5737.5</v>
      </c>
      <c r="L8" s="10">
        <f>IF(11-'1 Assunzioni'!$B$24&gt;=1,INDEX($B$7:$M$7,1,11-'1 Assunzioni'!$B$24),0)</f>
        <v>5737.5</v>
      </c>
      <c r="M8" s="10">
        <f>IF(12-'1 Assunzioni'!$B$24&gt;=1,INDEX($B$7:$M$7,1,12-'1 Assunzioni'!$B$24),0)</f>
        <v>5737.5</v>
      </c>
      <c r="N8" s="9">
        <f>SUM(B8:M8)</f>
        <v>68850</v>
      </c>
    </row>
    <row r="9" spans="1:14" ht="20.100000000000001" customHeight="1" x14ac:dyDescent="0.25">
      <c r="A9" s="3" t="s">
        <v>106</v>
      </c>
      <c r="B9" s="10">
        <f>'1 Assunzioni'!$B$16</f>
        <v>27800</v>
      </c>
      <c r="C9" s="10">
        <f>'1 Assunzioni'!$B$16</f>
        <v>27800</v>
      </c>
      <c r="D9" s="10">
        <f>'1 Assunzioni'!$B$16</f>
        <v>27800</v>
      </c>
      <c r="E9" s="10">
        <f>'1 Assunzioni'!$B$16</f>
        <v>27800</v>
      </c>
      <c r="F9" s="10">
        <f>'1 Assunzioni'!$B$16</f>
        <v>27800</v>
      </c>
      <c r="G9" s="10">
        <f>'1 Assunzioni'!$B$16</f>
        <v>27800</v>
      </c>
      <c r="H9" s="10">
        <f>'1 Assunzioni'!$B$16</f>
        <v>27800</v>
      </c>
      <c r="I9" s="10">
        <f>'1 Assunzioni'!$B$16</f>
        <v>27800</v>
      </c>
      <c r="J9" s="10">
        <f>'1 Assunzioni'!$B$16</f>
        <v>27800</v>
      </c>
      <c r="K9" s="10">
        <f>'1 Assunzioni'!$B$16</f>
        <v>27800</v>
      </c>
      <c r="L9" s="10">
        <f>'1 Assunzioni'!$B$16</f>
        <v>27800</v>
      </c>
      <c r="M9" s="10">
        <f>'1 Assunzioni'!$B$16</f>
        <v>27800</v>
      </c>
      <c r="N9" s="9">
        <f>SUM(B9:M9)</f>
        <v>333600</v>
      </c>
    </row>
    <row r="10" spans="1:14" ht="20.100000000000001" customHeight="1" x14ac:dyDescent="0.25">
      <c r="A10" s="3" t="s">
        <v>107</v>
      </c>
      <c r="B10" s="10">
        <f>IF(1=1,'1 Assunzioni'!$B$19,0)</f>
        <v>30000</v>
      </c>
      <c r="C10" s="10">
        <f>IF(2=1,'1 Assunzioni'!$B$19,0)</f>
        <v>0</v>
      </c>
      <c r="D10" s="10">
        <f>IF(3=1,'1 Assunzioni'!$B$19,0)</f>
        <v>0</v>
      </c>
      <c r="E10" s="10">
        <f>IF(4=1,'1 Assunzioni'!$B$19,0)</f>
        <v>0</v>
      </c>
      <c r="F10" s="10">
        <f>IF(5=1,'1 Assunzioni'!$B$19,0)</f>
        <v>0</v>
      </c>
      <c r="G10" s="10">
        <f>IF(6=1,'1 Assunzioni'!$B$19,0)</f>
        <v>0</v>
      </c>
      <c r="H10" s="10">
        <f>IF(7=1,'1 Assunzioni'!$B$19,0)</f>
        <v>0</v>
      </c>
      <c r="I10" s="10">
        <f>IF(8=1,'1 Assunzioni'!$B$19,0)</f>
        <v>0</v>
      </c>
      <c r="J10" s="10">
        <f>IF(9=1,'1 Assunzioni'!$B$19,0)</f>
        <v>0</v>
      </c>
      <c r="K10" s="10">
        <f>IF(10=1,'1 Assunzioni'!$B$19,0)</f>
        <v>0</v>
      </c>
      <c r="L10" s="10">
        <f>IF(11=1,'1 Assunzioni'!$B$19,0)</f>
        <v>0</v>
      </c>
      <c r="M10" s="10">
        <f>IF(12=1,'1 Assunzioni'!$B$19,0)</f>
        <v>0</v>
      </c>
      <c r="N10" s="9">
        <f>SUM(B10:M10)</f>
        <v>30000</v>
      </c>
    </row>
    <row r="11" spans="1:14" ht="20.100000000000001" customHeight="1" x14ac:dyDescent="0.25">
      <c r="A11" s="3" t="s">
        <v>108</v>
      </c>
      <c r="B11" s="9">
        <f t="shared" ref="B11:M11" si="0">B8+B9+B10</f>
        <v>63537.5</v>
      </c>
      <c r="C11" s="9">
        <f t="shared" si="0"/>
        <v>33537.5</v>
      </c>
      <c r="D11" s="9">
        <f t="shared" si="0"/>
        <v>33537.5</v>
      </c>
      <c r="E11" s="9">
        <f t="shared" si="0"/>
        <v>33537.5</v>
      </c>
      <c r="F11" s="9">
        <f t="shared" si="0"/>
        <v>33537.5</v>
      </c>
      <c r="G11" s="9">
        <f t="shared" si="0"/>
        <v>33537.5</v>
      </c>
      <c r="H11" s="9">
        <f t="shared" si="0"/>
        <v>33537.5</v>
      </c>
      <c r="I11" s="9">
        <f t="shared" si="0"/>
        <v>33537.5</v>
      </c>
      <c r="J11" s="9">
        <f t="shared" si="0"/>
        <v>33537.5</v>
      </c>
      <c r="K11" s="9">
        <f t="shared" si="0"/>
        <v>33537.5</v>
      </c>
      <c r="L11" s="9">
        <f t="shared" si="0"/>
        <v>33537.5</v>
      </c>
      <c r="M11" s="9">
        <f t="shared" si="0"/>
        <v>33537.5</v>
      </c>
      <c r="N11" s="9">
        <f>SUM(B11:M11)</f>
        <v>432450</v>
      </c>
    </row>
    <row r="12" spans="1:14" ht="21.95" customHeight="1" x14ac:dyDescent="0.25">
      <c r="A12" s="23" t="s">
        <v>109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ht="20.100000000000001" customHeight="1" x14ac:dyDescent="0.25">
      <c r="A13" s="3" t="s">
        <v>110</v>
      </c>
      <c r="B13" s="9">
        <f t="shared" ref="B13:M13" si="1">B5-B11</f>
        <v>-63537.5</v>
      </c>
      <c r="C13" s="9">
        <f t="shared" si="1"/>
        <v>4712.5</v>
      </c>
      <c r="D13" s="9">
        <f t="shared" si="1"/>
        <v>4712.5</v>
      </c>
      <c r="E13" s="9">
        <f t="shared" si="1"/>
        <v>4712.5</v>
      </c>
      <c r="F13" s="9">
        <f t="shared" si="1"/>
        <v>4712.5</v>
      </c>
      <c r="G13" s="9">
        <f t="shared" si="1"/>
        <v>4712.5</v>
      </c>
      <c r="H13" s="9">
        <f t="shared" si="1"/>
        <v>4712.5</v>
      </c>
      <c r="I13" s="9">
        <f t="shared" si="1"/>
        <v>4712.5</v>
      </c>
      <c r="J13" s="9">
        <f t="shared" si="1"/>
        <v>4712.5</v>
      </c>
      <c r="K13" s="9">
        <f t="shared" si="1"/>
        <v>4712.5</v>
      </c>
      <c r="L13" s="9">
        <f t="shared" si="1"/>
        <v>4712.5</v>
      </c>
      <c r="M13" s="9">
        <f t="shared" si="1"/>
        <v>4712.5</v>
      </c>
      <c r="N13" s="9">
        <f>SUM(B13:M13)</f>
        <v>-11700</v>
      </c>
    </row>
    <row r="14" spans="1:14" ht="26.1" customHeight="1" x14ac:dyDescent="0.25">
      <c r="A14" s="12" t="s">
        <v>111</v>
      </c>
      <c r="B14" s="13">
        <f>'1 Assunzioni'!$B$22+B13</f>
        <v>-13537.5</v>
      </c>
      <c r="C14" s="13">
        <f t="shared" ref="C14:M14" si="2">B14+C13</f>
        <v>-8825</v>
      </c>
      <c r="D14" s="13">
        <f t="shared" si="2"/>
        <v>-4112.5</v>
      </c>
      <c r="E14" s="13">
        <f t="shared" si="2"/>
        <v>600</v>
      </c>
      <c r="F14" s="13">
        <f t="shared" si="2"/>
        <v>5312.5</v>
      </c>
      <c r="G14" s="13">
        <f t="shared" si="2"/>
        <v>10025</v>
      </c>
      <c r="H14" s="13">
        <f t="shared" si="2"/>
        <v>14737.5</v>
      </c>
      <c r="I14" s="13">
        <f t="shared" si="2"/>
        <v>19450</v>
      </c>
      <c r="J14" s="13">
        <f t="shared" si="2"/>
        <v>24162.5</v>
      </c>
      <c r="K14" s="13">
        <f t="shared" si="2"/>
        <v>28875</v>
      </c>
      <c r="L14" s="13">
        <f t="shared" si="2"/>
        <v>33587.5</v>
      </c>
      <c r="M14" s="13">
        <f t="shared" si="2"/>
        <v>38300</v>
      </c>
      <c r="N14" s="13">
        <f>M14</f>
        <v>38300</v>
      </c>
    </row>
  </sheetData>
  <mergeCells count="4">
    <mergeCell ref="A12:N12"/>
    <mergeCell ref="A3:N3"/>
    <mergeCell ref="A6:N6"/>
    <mergeCell ref="A1:N1"/>
  </mergeCells>
  <conditionalFormatting sqref="B13:N14">
    <cfRule type="cellIs" dxfId="6" priority="1" operator="lessThan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pane ySplit="2" topLeftCell="A3" activePane="bottomLeft" state="frozen"/>
      <selection pane="bottomLeft" activeCell="B4" sqref="B4"/>
    </sheetView>
  </sheetViews>
  <sheetFormatPr defaultRowHeight="15" x14ac:dyDescent="0.25"/>
  <cols>
    <col min="1" max="1" width="46" customWidth="1"/>
    <col min="2" max="2" width="18" customWidth="1"/>
    <col min="3" max="3" width="64" customWidth="1"/>
  </cols>
  <sheetData>
    <row r="1" spans="1:3" ht="32.1" customHeight="1" x14ac:dyDescent="0.25">
      <c r="A1" s="24" t="s">
        <v>112</v>
      </c>
      <c r="B1" s="20"/>
      <c r="C1" s="20"/>
    </row>
    <row r="2" spans="1:3" ht="27.95" customHeight="1" x14ac:dyDescent="0.25">
      <c r="A2" s="2" t="s">
        <v>30</v>
      </c>
      <c r="B2" s="2" t="s">
        <v>31</v>
      </c>
      <c r="C2" s="2" t="s">
        <v>32</v>
      </c>
    </row>
    <row r="3" spans="1:3" ht="20.100000000000001" customHeight="1" x14ac:dyDescent="0.25">
      <c r="A3" s="3" t="s">
        <v>113</v>
      </c>
      <c r="B3" s="10">
        <f>'2 Conto economico'!$B$3</f>
        <v>459000</v>
      </c>
      <c r="C3" s="5" t="s">
        <v>114</v>
      </c>
    </row>
    <row r="4" spans="1:3" ht="20.100000000000001" customHeight="1" x14ac:dyDescent="0.25">
      <c r="A4" s="3" t="s">
        <v>115</v>
      </c>
      <c r="B4" s="10">
        <f>'2 Conto economico'!$B$6+'2 Conto economico'!$B$8</f>
        <v>339600</v>
      </c>
      <c r="C4" s="5" t="s">
        <v>116</v>
      </c>
    </row>
    <row r="5" spans="1:3" ht="20.100000000000001" customHeight="1" x14ac:dyDescent="0.25">
      <c r="A5" s="3" t="s">
        <v>117</v>
      </c>
      <c r="B5" s="15">
        <f>'1 Assunzioni'!$B$4*(1-'1 Assunzioni'!$B$9)</f>
        <v>382.5</v>
      </c>
      <c r="C5" s="5" t="s">
        <v>118</v>
      </c>
    </row>
    <row r="6" spans="1:3" ht="20.100000000000001" customHeight="1" x14ac:dyDescent="0.25">
      <c r="A6" s="3" t="s">
        <v>119</v>
      </c>
      <c r="B6" s="11">
        <f>1-'1 Assunzioni'!$B$9</f>
        <v>0.85</v>
      </c>
      <c r="C6" s="5" t="s">
        <v>120</v>
      </c>
    </row>
    <row r="7" spans="1:3" ht="20.100000000000001" customHeight="1" x14ac:dyDescent="0.25">
      <c r="A7" s="3" t="s">
        <v>121</v>
      </c>
      <c r="B7" s="9">
        <f>IF(B6=0,0,B4/B6)</f>
        <v>399529.4117647059</v>
      </c>
      <c r="C7" s="5" t="s">
        <v>122</v>
      </c>
    </row>
    <row r="8" spans="1:3" ht="20.100000000000001" customHeight="1" x14ac:dyDescent="0.25">
      <c r="A8" s="3" t="s">
        <v>123</v>
      </c>
      <c r="B8" s="10">
        <f>B7/12</f>
        <v>33294.117647058825</v>
      </c>
      <c r="C8" s="5" t="s">
        <v>124</v>
      </c>
    </row>
    <row r="9" spans="1:3" ht="20.100000000000001" customHeight="1" x14ac:dyDescent="0.25">
      <c r="A9" s="3" t="s">
        <v>125</v>
      </c>
      <c r="B9" s="16">
        <f>IF(B5=0,0,B4/B5)</f>
        <v>887.84313725490199</v>
      </c>
      <c r="C9" s="5" t="s">
        <v>126</v>
      </c>
    </row>
    <row r="10" spans="1:3" ht="20.100000000000001" customHeight="1" x14ac:dyDescent="0.25">
      <c r="A10" s="3" t="s">
        <v>127</v>
      </c>
      <c r="B10" s="17">
        <f>B9/12</f>
        <v>73.986928104575171</v>
      </c>
      <c r="C10" s="5" t="s">
        <v>128</v>
      </c>
    </row>
    <row r="11" spans="1:3" ht="20.100000000000001" customHeight="1" x14ac:dyDescent="0.25">
      <c r="A11" s="3" t="s">
        <v>129</v>
      </c>
      <c r="B11" s="18">
        <f>IF(B3=0,0,(B3-B7)/B3)</f>
        <v>0.12956555171088038</v>
      </c>
      <c r="C11" s="5" t="s">
        <v>130</v>
      </c>
    </row>
  </sheetData>
  <mergeCells count="1">
    <mergeCell ref="A1:C1"/>
  </mergeCells>
  <conditionalFormatting sqref="B11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44" customWidth="1"/>
    <col min="2" max="2" width="18" customWidth="1"/>
    <col min="3" max="3" width="64" customWidth="1"/>
  </cols>
  <sheetData>
    <row r="1" spans="1:3" ht="32.1" customHeight="1" x14ac:dyDescent="0.25">
      <c r="A1" s="24" t="s">
        <v>131</v>
      </c>
      <c r="B1" s="20"/>
      <c r="C1" s="20"/>
    </row>
    <row r="2" spans="1:3" ht="27.95" customHeight="1" x14ac:dyDescent="0.25">
      <c r="A2" s="2" t="s">
        <v>132</v>
      </c>
      <c r="B2" s="2" t="s">
        <v>31</v>
      </c>
      <c r="C2" s="2" t="s">
        <v>32</v>
      </c>
    </row>
    <row r="3" spans="1:3" ht="21.95" customHeight="1" x14ac:dyDescent="0.25">
      <c r="A3" s="23" t="s">
        <v>133</v>
      </c>
      <c r="B3" s="20"/>
      <c r="C3" s="20"/>
    </row>
    <row r="4" spans="1:3" ht="20.100000000000001" customHeight="1" x14ac:dyDescent="0.25">
      <c r="A4" s="3" t="s">
        <v>134</v>
      </c>
      <c r="B4" s="18">
        <f>('2 Conto economico'!$F$3/'2 Conto economico'!$B$3)^(1/2)-1</f>
        <v>0.17473401244707309</v>
      </c>
      <c r="C4" s="5" t="s">
        <v>135</v>
      </c>
    </row>
    <row r="5" spans="1:3" ht="20.100000000000001" customHeight="1" x14ac:dyDescent="0.25">
      <c r="A5" s="3" t="s">
        <v>136</v>
      </c>
      <c r="B5" s="11">
        <f>'2 Conto economico'!$C$7</f>
        <v>0.12320261437908497</v>
      </c>
      <c r="C5" s="5" t="s">
        <v>137</v>
      </c>
    </row>
    <row r="6" spans="1:3" ht="20.100000000000001" customHeight="1" x14ac:dyDescent="0.25">
      <c r="A6" s="3" t="s">
        <v>138</v>
      </c>
      <c r="B6" s="11">
        <f>'2 Conto economico'!$E$7</f>
        <v>0.24433551198257081</v>
      </c>
      <c r="C6" s="5" t="s">
        <v>137</v>
      </c>
    </row>
    <row r="7" spans="1:3" ht="20.100000000000001" customHeight="1" x14ac:dyDescent="0.25">
      <c r="A7" s="3" t="s">
        <v>139</v>
      </c>
      <c r="B7" s="11">
        <f>'2 Conto economico'!$G$7</f>
        <v>0.32333522781093116</v>
      </c>
      <c r="C7" s="5" t="s">
        <v>137</v>
      </c>
    </row>
    <row r="8" spans="1:3" ht="20.100000000000001" customHeight="1" x14ac:dyDescent="0.25">
      <c r="A8" s="3" t="s">
        <v>140</v>
      </c>
      <c r="B8" s="10">
        <f>'2 Conto economico'!$B$11+'2 Conto economico'!$D$11+'2 Conto economico'!$F$11</f>
        <v>272114.64</v>
      </c>
      <c r="C8" s="5" t="s">
        <v>141</v>
      </c>
    </row>
    <row r="9" spans="1:3" ht="21.95" customHeight="1" x14ac:dyDescent="0.25">
      <c r="A9" s="23" t="s">
        <v>142</v>
      </c>
      <c r="B9" s="20"/>
      <c r="C9" s="20"/>
    </row>
    <row r="10" spans="1:3" ht="20.100000000000001" customHeight="1" x14ac:dyDescent="0.25">
      <c r="A10" s="3" t="s">
        <v>143</v>
      </c>
      <c r="B10" s="10">
        <f>AVERAGE('3 Cash flow anno 1'!$B$13:$M$13)</f>
        <v>-975</v>
      </c>
      <c r="C10" s="5" t="s">
        <v>144</v>
      </c>
    </row>
    <row r="11" spans="1:3" ht="20.100000000000001" customHeight="1" x14ac:dyDescent="0.25">
      <c r="A11" s="3" t="s">
        <v>145</v>
      </c>
      <c r="B11" s="16">
        <f>IF($B$10&gt;=0,"n/d — flusso medio positivo",ROUND('1 Assunzioni'!$B$22/ABS($B$10),1))</f>
        <v>51.3</v>
      </c>
      <c r="C11" s="5" t="s">
        <v>146</v>
      </c>
    </row>
    <row r="12" spans="1:3" ht="20.100000000000001" customHeight="1" x14ac:dyDescent="0.25">
      <c r="A12" s="3" t="s">
        <v>147</v>
      </c>
      <c r="B12" s="9">
        <f>MAX(0,-MIN('3 Cash flow anno 1'!$B$14:$M$14))</f>
        <v>13537.5</v>
      </c>
      <c r="C12" s="5" t="s">
        <v>148</v>
      </c>
    </row>
    <row r="13" spans="1:3" ht="20.100000000000001" customHeight="1" x14ac:dyDescent="0.25">
      <c r="A13" s="3" t="s">
        <v>149</v>
      </c>
      <c r="B13" s="10">
        <f>'3 Cash flow anno 1'!$M$14</f>
        <v>38300</v>
      </c>
      <c r="C13" s="5" t="s">
        <v>150</v>
      </c>
    </row>
    <row r="14" spans="1:3" ht="21.95" customHeight="1" x14ac:dyDescent="0.25">
      <c r="A14" s="23" t="s">
        <v>151</v>
      </c>
      <c r="B14" s="20"/>
      <c r="C14" s="20"/>
    </row>
    <row r="15" spans="1:3" ht="20.100000000000001" customHeight="1" x14ac:dyDescent="0.25">
      <c r="A15" s="3" t="s">
        <v>121</v>
      </c>
      <c r="B15" s="10">
        <f>'4 Break-even'!$B$7</f>
        <v>399529.4117647059</v>
      </c>
      <c r="C15" s="5" t="s">
        <v>122</v>
      </c>
    </row>
    <row r="16" spans="1:3" ht="20.100000000000001" customHeight="1" x14ac:dyDescent="0.25">
      <c r="A16" s="3" t="s">
        <v>152</v>
      </c>
      <c r="B16" s="11">
        <f>'4 Break-even'!$B$11</f>
        <v>0.12956555171088038</v>
      </c>
      <c r="C16" s="5" t="s">
        <v>153</v>
      </c>
    </row>
  </sheetData>
  <mergeCells count="4">
    <mergeCell ref="A1:C1"/>
    <mergeCell ref="A9:C9"/>
    <mergeCell ref="A14:C14"/>
    <mergeCell ref="A3:C3"/>
  </mergeCells>
  <conditionalFormatting sqref="B5:B7">
    <cfRule type="cellIs" dxfId="3" priority="1" operator="lessThan">
      <formula>0</formula>
    </cfRule>
  </conditionalFormatting>
  <conditionalFormatting sqref="B12">
    <cfRule type="cellIs" dxfId="2" priority="2" operator="greaterThan">
      <formula>0</formula>
    </cfRule>
  </conditionalFormatting>
  <conditionalFormatting sqref="B13">
    <cfRule type="cellIs" dxfId="1" priority="3" operator="lessThan">
      <formula>0</formula>
    </cfRule>
  </conditionalFormatting>
  <conditionalFormatting sqref="B16">
    <cfRule type="cellIs" dxfId="0" priority="4" operator="less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Istruzioni</vt:lpstr>
      <vt:lpstr>1 Assunzioni</vt:lpstr>
      <vt:lpstr>2 Conto economico</vt:lpstr>
      <vt:lpstr>3 Cash flow anno 1</vt:lpstr>
      <vt:lpstr>4 Break-even</vt:lpstr>
      <vt:lpstr>5 KPI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business plan finanziario — SynSphere</dc:title>
  <dc:creator>SynSphere Italia</dc:creator>
  <dc:description>Modello finanziario di business plan a 3 anni per PMI italiane: assunzioni, conto economico previsionale, cash flow mensile, break-even e KPI. https://www.synsphere.it</dc:description>
  <cp:lastModifiedBy>Egiziago Cioffi</cp:lastModifiedBy>
  <dcterms:created xsi:type="dcterms:W3CDTF">2026-06-11T15:09:43Z</dcterms:created>
  <dcterms:modified xsi:type="dcterms:W3CDTF">2026-06-11T16:36:05Z</dcterms:modified>
</cp:coreProperties>
</file>